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570" windowHeight="12945" activeTab="0"/>
  </bookViews>
  <sheets>
    <sheet name="SPRDSHT&amp;" sheetId="1" r:id="rId1"/>
  </sheets>
  <definedNames>
    <definedName name="_xlnm.Print_Area" localSheetId="0">'SPRDSHT&amp;'!$B$1:$J$54</definedName>
  </definedNames>
  <calcPr fullCalcOnLoad="1"/>
</workbook>
</file>

<file path=xl/sharedStrings.xml><?xml version="1.0" encoding="utf-8"?>
<sst xmlns="http://schemas.openxmlformats.org/spreadsheetml/2006/main" count="125" uniqueCount="104">
  <si>
    <t>Units:</t>
  </si>
  <si>
    <t>Date:</t>
  </si>
  <si>
    <t>Job Title:</t>
  </si>
  <si>
    <t>Trans. fixed x?</t>
  </si>
  <si>
    <t>y</t>
  </si>
  <si>
    <t>Trans. fixed y?</t>
  </si>
  <si>
    <t>n</t>
  </si>
  <si>
    <t>L</t>
  </si>
  <si>
    <t>W</t>
  </si>
  <si>
    <t>S</t>
  </si>
  <si>
    <t>Intermediate calculations</t>
  </si>
  <si>
    <t>k.eff</t>
  </si>
  <si>
    <t>stability</t>
  </si>
  <si>
    <t xml:space="preserve"> in, kips, psi unless noted otherwise</t>
  </si>
  <si>
    <r>
      <t>dens steel(lbs/in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)</t>
    </r>
  </si>
  <si>
    <r>
      <t>dens elast(lbs/in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)</t>
    </r>
  </si>
  <si>
    <t>Designer:</t>
  </si>
  <si>
    <r>
      <t>G</t>
    </r>
    <r>
      <rPr>
        <b/>
        <vertAlign val="subscript"/>
        <sz val="10"/>
        <rFont val="Univers"/>
        <family val="0"/>
      </rPr>
      <t>min</t>
    </r>
  </si>
  <si>
    <r>
      <t>F</t>
    </r>
    <r>
      <rPr>
        <b/>
        <vertAlign val="subscript"/>
        <sz val="10"/>
        <rFont val="Univers"/>
        <family val="0"/>
      </rPr>
      <t>y</t>
    </r>
  </si>
  <si>
    <r>
      <t>h</t>
    </r>
    <r>
      <rPr>
        <b/>
        <vertAlign val="subscript"/>
        <sz val="10"/>
        <rFont val="Univers"/>
        <family val="0"/>
      </rPr>
      <t>cover</t>
    </r>
  </si>
  <si>
    <r>
      <t>P</t>
    </r>
    <r>
      <rPr>
        <b/>
        <vertAlign val="subscript"/>
        <sz val="10"/>
        <rFont val="Univers"/>
        <family val="0"/>
      </rPr>
      <t>DL</t>
    </r>
  </si>
  <si>
    <r>
      <t>P</t>
    </r>
    <r>
      <rPr>
        <b/>
        <vertAlign val="subscript"/>
        <sz val="10"/>
        <rFont val="Univers"/>
        <family val="0"/>
      </rPr>
      <t>LL</t>
    </r>
  </si>
  <si>
    <t xml:space="preserve">Area </t>
  </si>
  <si>
    <r>
      <t>h</t>
    </r>
    <r>
      <rPr>
        <b/>
        <vertAlign val="subscript"/>
        <sz val="10"/>
        <rFont val="Univers"/>
        <family val="0"/>
      </rPr>
      <t>ri</t>
    </r>
  </si>
  <si>
    <r>
      <t>E</t>
    </r>
    <r>
      <rPr>
        <vertAlign val="subscript"/>
        <sz val="10"/>
        <rFont val="Univers"/>
        <family val="0"/>
      </rPr>
      <t>c</t>
    </r>
  </si>
  <si>
    <r>
      <t>h</t>
    </r>
    <r>
      <rPr>
        <b/>
        <vertAlign val="subscript"/>
        <sz val="10"/>
        <rFont val="Univers"/>
        <family val="0"/>
      </rPr>
      <t>s</t>
    </r>
  </si>
  <si>
    <t>ABC</t>
  </si>
  <si>
    <r>
      <t>D</t>
    </r>
    <r>
      <rPr>
        <b/>
        <sz val="9"/>
        <rFont val="Geneva"/>
        <family val="0"/>
      </rPr>
      <t>F</t>
    </r>
    <r>
      <rPr>
        <b/>
        <vertAlign val="subscript"/>
        <sz val="9"/>
        <rFont val="Geneva"/>
        <family val="0"/>
      </rPr>
      <t>TH</t>
    </r>
  </si>
  <si>
    <r>
      <t>d</t>
    </r>
    <r>
      <rPr>
        <vertAlign val="subscript"/>
        <sz val="10"/>
        <rFont val="Univers"/>
        <family val="0"/>
      </rPr>
      <t>LL</t>
    </r>
  </si>
  <si>
    <t>Name of Job</t>
  </si>
  <si>
    <r>
      <t>q</t>
    </r>
    <r>
      <rPr>
        <b/>
        <vertAlign val="subscript"/>
        <sz val="10"/>
        <rFont val="Arial"/>
        <family val="2"/>
      </rPr>
      <t>s-st</t>
    </r>
  </si>
  <si>
    <r>
      <t>q</t>
    </r>
    <r>
      <rPr>
        <b/>
        <vertAlign val="subscript"/>
        <sz val="10"/>
        <rFont val="Arial"/>
        <family val="2"/>
      </rPr>
      <t>s-cy</t>
    </r>
  </si>
  <si>
    <r>
      <t>D</t>
    </r>
    <r>
      <rPr>
        <b/>
        <vertAlign val="subscript"/>
        <sz val="10"/>
        <rFont val="Geneva"/>
        <family val="0"/>
      </rPr>
      <t>s-st</t>
    </r>
  </si>
  <si>
    <t>Calculated Stresses</t>
  </si>
  <si>
    <t>Steel Shim Requirements</t>
  </si>
  <si>
    <t>Stability Requirements</t>
  </si>
  <si>
    <t>A</t>
  </si>
  <si>
    <t>B</t>
  </si>
  <si>
    <r>
      <t>s</t>
    </r>
    <r>
      <rPr>
        <vertAlign val="subscript"/>
        <sz val="10"/>
        <rFont val="Univers"/>
        <family val="2"/>
      </rPr>
      <t>TL</t>
    </r>
    <r>
      <rPr>
        <sz val="10"/>
        <rFont val="Univers"/>
        <family val="2"/>
      </rPr>
      <t xml:space="preserve"> (psi)</t>
    </r>
  </si>
  <si>
    <r>
      <t>g</t>
    </r>
    <r>
      <rPr>
        <vertAlign val="subscript"/>
        <sz val="10"/>
        <rFont val="Arial"/>
        <family val="2"/>
      </rPr>
      <t>s-st</t>
    </r>
  </si>
  <si>
    <r>
      <t>g</t>
    </r>
    <r>
      <rPr>
        <vertAlign val="subscript"/>
        <sz val="10"/>
        <rFont val="Arial"/>
        <family val="2"/>
      </rPr>
      <t>s-cy</t>
    </r>
  </si>
  <si>
    <r>
      <t>g</t>
    </r>
    <r>
      <rPr>
        <vertAlign val="subscript"/>
        <sz val="10"/>
        <rFont val="Arial"/>
        <family val="2"/>
      </rPr>
      <t>r-cy</t>
    </r>
  </si>
  <si>
    <r>
      <t>g</t>
    </r>
    <r>
      <rPr>
        <vertAlign val="subscript"/>
        <sz val="10"/>
        <rFont val="Arial"/>
        <family val="2"/>
      </rPr>
      <t>r-st</t>
    </r>
  </si>
  <si>
    <r>
      <t>g</t>
    </r>
    <r>
      <rPr>
        <vertAlign val="subscript"/>
        <sz val="10"/>
        <rFont val="Arial"/>
        <family val="2"/>
      </rPr>
      <t>a-cy</t>
    </r>
  </si>
  <si>
    <r>
      <t>g</t>
    </r>
    <r>
      <rPr>
        <vertAlign val="subscript"/>
        <sz val="10"/>
        <rFont val="Arial"/>
        <family val="2"/>
      </rPr>
      <t>a-st</t>
    </r>
  </si>
  <si>
    <r>
      <t>g</t>
    </r>
    <r>
      <rPr>
        <vertAlign val="subscript"/>
        <sz val="10"/>
        <rFont val="Arial"/>
        <family val="2"/>
      </rPr>
      <t>comb sum</t>
    </r>
  </si>
  <si>
    <r>
      <t>s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cy</t>
    </r>
  </si>
  <si>
    <r>
      <t>s</t>
    </r>
    <r>
      <rPr>
        <vertAlign val="subscript"/>
        <sz val="10"/>
        <rFont val="Univers"/>
        <family val="0"/>
      </rPr>
      <t xml:space="preserve">TL     </t>
    </r>
  </si>
  <si>
    <t>(psi):</t>
  </si>
  <si>
    <t>(in):</t>
  </si>
  <si>
    <t>(kips):</t>
  </si>
  <si>
    <t>(rads):</t>
  </si>
  <si>
    <t>(y/n):</t>
  </si>
  <si>
    <t>(ksi):</t>
  </si>
  <si>
    <t>(-):</t>
  </si>
  <si>
    <t>Compressive Deformation</t>
  </si>
  <si>
    <r>
      <t>s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</si>
  <si>
    <r>
      <t>d</t>
    </r>
    <r>
      <rPr>
        <vertAlign val="subscript"/>
        <sz val="10"/>
        <rFont val="Univers"/>
        <family val="0"/>
      </rPr>
      <t>DL-initial</t>
    </r>
  </si>
  <si>
    <t>da1</t>
  </si>
  <si>
    <t>da2</t>
  </si>
  <si>
    <t>lambda</t>
  </si>
  <si>
    <t>da3</t>
  </si>
  <si>
    <t>Da</t>
  </si>
  <si>
    <t>Dr</t>
  </si>
  <si>
    <t>L/W</t>
  </si>
  <si>
    <t>W/L</t>
  </si>
  <si>
    <t>(primary direction)</t>
  </si>
  <si>
    <t>(secondary direction)</t>
  </si>
  <si>
    <r>
      <t>h</t>
    </r>
    <r>
      <rPr>
        <vertAlign val="subscript"/>
        <sz val="10"/>
        <rFont val="Univers"/>
        <family val="2"/>
      </rPr>
      <t>rt</t>
    </r>
    <r>
      <rPr>
        <sz val="10"/>
        <rFont val="Univers"/>
        <family val="2"/>
      </rPr>
      <t xml:space="preserve"> =</t>
    </r>
  </si>
  <si>
    <t>Unloaded height =</t>
  </si>
  <si>
    <t>Loaded (DL) height =</t>
  </si>
  <si>
    <t xml:space="preserve"> (-)     =</t>
  </si>
  <si>
    <r>
      <t>(in</t>
    </r>
    <r>
      <rPr>
        <vertAlign val="superscript"/>
        <sz val="10"/>
        <rFont val="Univers"/>
        <family val="0"/>
      </rPr>
      <t>2</t>
    </r>
    <r>
      <rPr>
        <sz val="10"/>
        <rFont val="Univers"/>
        <family val="2"/>
      </rPr>
      <t>)   =</t>
    </r>
  </si>
  <si>
    <r>
      <t>h</t>
    </r>
    <r>
      <rPr>
        <vertAlign val="subscript"/>
        <sz val="10"/>
        <rFont val="Univers"/>
        <family val="0"/>
      </rPr>
      <t>s</t>
    </r>
    <r>
      <rPr>
        <sz val="10"/>
        <rFont val="Univers"/>
        <family val="2"/>
      </rPr>
      <t xml:space="preserve"> (service) </t>
    </r>
  </si>
  <si>
    <r>
      <t>h</t>
    </r>
    <r>
      <rPr>
        <vertAlign val="subscript"/>
        <sz val="10"/>
        <rFont val="Univers"/>
        <family val="0"/>
      </rPr>
      <t>s</t>
    </r>
    <r>
      <rPr>
        <sz val="10"/>
        <rFont val="Univers"/>
        <family val="2"/>
      </rPr>
      <t xml:space="preserve"> (fatigue)</t>
    </r>
  </si>
  <si>
    <r>
      <t>h</t>
    </r>
    <r>
      <rPr>
        <vertAlign val="subscript"/>
        <sz val="10"/>
        <rFont val="Univers"/>
        <family val="0"/>
      </rPr>
      <t>s</t>
    </r>
    <r>
      <rPr>
        <sz val="10"/>
        <rFont val="Univers"/>
        <family val="2"/>
      </rPr>
      <t xml:space="preserve"> (minimum)</t>
    </r>
  </si>
  <si>
    <t>Approx. weight =</t>
  </si>
  <si>
    <t>L =</t>
  </si>
  <si>
    <t>W =</t>
  </si>
  <si>
    <r>
      <t>2*</t>
    </r>
    <r>
      <rPr>
        <b/>
        <sz val="10"/>
        <color indexed="8"/>
        <rFont val="Symbol"/>
        <family val="1"/>
      </rPr>
      <t>D</t>
    </r>
    <r>
      <rPr>
        <vertAlign val="subscript"/>
        <sz val="10"/>
        <color indexed="8"/>
        <rFont val="Univers"/>
        <family val="2"/>
      </rPr>
      <t>s-st</t>
    </r>
  </si>
  <si>
    <t>≈</t>
  </si>
  <si>
    <t>Calculated Shear Strains</t>
  </si>
  <si>
    <t>Coordinates:</t>
  </si>
  <si>
    <t>x, L are perpendicular;   y, W are parallel, to the primary rotation axis.  Usually W&gt;L.</t>
  </si>
  <si>
    <t>Allowable shear displacement =</t>
  </si>
  <si>
    <t>Ba</t>
  </si>
  <si>
    <t>epsilona</t>
  </si>
  <si>
    <t>Ca</t>
  </si>
  <si>
    <t>alpha</t>
  </si>
  <si>
    <t>sigmahyd</t>
  </si>
  <si>
    <t>sigmamax</t>
  </si>
  <si>
    <t>No. of int. layers</t>
  </si>
  <si>
    <t>Maximum shear force =</t>
  </si>
  <si>
    <t>Elastomeric Bearing Design</t>
  </si>
  <si>
    <t>AASHTO LRFD Method B Design ~ English Units</t>
  </si>
  <si>
    <t>Peak hydrostatic stresses must be checked for bearings with externally bonded steel plates.</t>
  </si>
  <si>
    <t xml:space="preserve">Spreadsheet applies to rectangular shaped bearings only.  All boxed entities must be input by user.  </t>
  </si>
  <si>
    <t>INPUT DATA</t>
  </si>
  <si>
    <t>BEARING DESIGN</t>
  </si>
  <si>
    <t>SUMMARY</t>
  </si>
  <si>
    <r>
      <t>[</t>
    </r>
    <r>
      <rPr>
        <sz val="10"/>
        <rFont val="Symbol"/>
        <family val="1"/>
      </rPr>
      <t>d</t>
    </r>
    <r>
      <rPr>
        <vertAlign val="subscript"/>
        <sz val="10"/>
        <rFont val="Univers"/>
        <family val="0"/>
      </rPr>
      <t>DL</t>
    </r>
    <r>
      <rPr>
        <sz val="10"/>
        <rFont val="Univers"/>
        <family val="2"/>
      </rPr>
      <t xml:space="preserve"> and </t>
    </r>
    <r>
      <rPr>
        <sz val="10"/>
        <rFont val="Symbol"/>
        <family val="1"/>
      </rPr>
      <t>d</t>
    </r>
    <r>
      <rPr>
        <vertAlign val="subscript"/>
        <sz val="10"/>
        <rFont val="Univers"/>
        <family val="0"/>
      </rPr>
      <t>LL</t>
    </r>
    <r>
      <rPr>
        <sz val="10"/>
        <rFont val="Univers"/>
        <family val="2"/>
      </rPr>
      <t xml:space="preserve"> values are approximate and based upon Commentary Eqn. C14.7.5.3.6-1.]</t>
    </r>
  </si>
  <si>
    <t>Shear strain due to rotation in secondary direction is based upon 0.010 radian out-of-plumb tolerance.</t>
  </si>
  <si>
    <t>Based upon AASHTO LRFD 9th Edition (2020)</t>
  </si>
  <si>
    <t>(prog. by R. Dornsife; WSDOT; 2008-2020)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</si>
</sst>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/d/yy"/>
    <numFmt numFmtId="168" formatCode="&quot;vs. 3.00&quot;"/>
    <numFmt numFmtId="169" formatCode="&quot;vs. 3.00&quot;\,##"/>
    <numFmt numFmtId="170" formatCode="&quot;vs. 3.00&quot;\ #"/>
    <numFmt numFmtId="171" formatCode="&quot;vs. 3.00&quot;\ **"/>
    <numFmt numFmtId="172" formatCode="&quot;vs. 3.00&quot;#"/>
    <numFmt numFmtId="173" formatCode="0.00000000000000"/>
    <numFmt numFmtId="174" formatCode="##,\ &quot; in&quot;"/>
    <numFmt numFmtId="175" formatCode="**\,\ &quot; in&quot;"/>
    <numFmt numFmtId="176" formatCode="#\ &quot; in&quot;"/>
    <numFmt numFmtId="177" formatCode="###\ &quot; in&quot;"/>
    <numFmt numFmtId="178" formatCode="##.##\ &quot; in&quot;"/>
    <numFmt numFmtId="179" formatCode="####\ &quot; in&quot;"/>
    <numFmt numFmtId="180" formatCode="##.00\ &quot; in&quot;"/>
    <numFmt numFmtId="181" formatCode="##.00\ &quot; lbs&quot;"/>
    <numFmt numFmtId="182" formatCode="&quot; = &quot;#.000"/>
    <numFmt numFmtId="183" formatCode="##.0\ &quot; lb&quot;"/>
    <numFmt numFmtId="184" formatCode="##.0\ &quot; lbs&quot;"/>
    <numFmt numFmtId="185" formatCode="##.0\ &quot; kips&quot;"/>
    <numFmt numFmtId="186" formatCode="##.0\ &quot;  lbs&quot;"/>
    <numFmt numFmtId="187" formatCode="##.00\ &quot;    in&quot;"/>
    <numFmt numFmtId="188" formatCode="##.00\ &quot;in&quot;"/>
    <numFmt numFmtId="189" formatCode="##.0\ &quot;lbs&quot;"/>
    <numFmt numFmtId="190" formatCode="##.0\ &quot;kips&quot;"/>
    <numFmt numFmtId="191" formatCode="##\ &quot;psi&quot;"/>
    <numFmt numFmtId="192" formatCode="&quot; = &quot;#"/>
    <numFmt numFmtId="193" formatCode="&quot;=&quot;\ ##\ &quot;psi&quot;"/>
    <numFmt numFmtId="194" formatCode="##.000\ &quot;in&quot;"/>
    <numFmt numFmtId="195" formatCode="##.##\ &quot; in2&quot;"/>
    <numFmt numFmtId="196" formatCode="##.0\ &quot;in^2&quot;"/>
    <numFmt numFmtId="197" formatCode="##.0\ &quot; in2&quot;"/>
    <numFmt numFmtId="198" formatCode="hs\ \(se\r\v\i\ce\)"/>
    <numFmt numFmtId="199" formatCode="&quot;hs (service)&quot;\ #"/>
    <numFmt numFmtId="200" formatCode="&quot;hs (service)&quot;\ m"/>
    <numFmt numFmtId="201" formatCode="##.00\ &quot;  in&quot;"/>
    <numFmt numFmtId="202" formatCode="##,###\ &quot;psi&quot;"/>
    <numFmt numFmtId="203" formatCode="##,#00\ &quot;psi&quot;"/>
    <numFmt numFmtId="204" formatCode="#,###\ &quot;psi&quot;"/>
  </numFmts>
  <fonts count="6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b/>
      <sz val="10"/>
      <name val="Symbol"/>
      <family val="1"/>
    </font>
    <font>
      <sz val="10"/>
      <name val="Symbol"/>
      <family val="1"/>
    </font>
    <font>
      <sz val="10"/>
      <name val="Times New Roman"/>
      <family val="1"/>
    </font>
    <font>
      <sz val="10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vertAlign val="superscript"/>
      <sz val="10"/>
      <name val="Univers"/>
      <family val="0"/>
    </font>
    <font>
      <vertAlign val="superscript"/>
      <sz val="10"/>
      <name val="Geneva"/>
      <family val="0"/>
    </font>
    <font>
      <vertAlign val="subscript"/>
      <sz val="10"/>
      <name val="Univers"/>
      <family val="0"/>
    </font>
    <font>
      <b/>
      <vertAlign val="subscript"/>
      <sz val="10"/>
      <name val="Univers"/>
      <family val="0"/>
    </font>
    <font>
      <b/>
      <vertAlign val="subscript"/>
      <sz val="9"/>
      <name val="Geneva"/>
      <family val="0"/>
    </font>
    <font>
      <b/>
      <vertAlign val="subscript"/>
      <sz val="10"/>
      <name val="Geneva"/>
      <family val="0"/>
    </font>
    <font>
      <b/>
      <sz val="9"/>
      <name val="Symbol"/>
      <family val="1"/>
    </font>
    <font>
      <b/>
      <strike/>
      <sz val="10"/>
      <name val="Univers"/>
      <family val="2"/>
    </font>
    <font>
      <strike/>
      <sz val="10"/>
      <name val="Univers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10"/>
      <color indexed="8"/>
      <name val="Univers"/>
      <family val="2"/>
    </font>
    <font>
      <b/>
      <sz val="10"/>
      <color indexed="8"/>
      <name val="Symbol"/>
      <family val="1"/>
    </font>
    <font>
      <vertAlign val="subscript"/>
      <sz val="10"/>
      <color indexed="8"/>
      <name val="Univers"/>
      <family val="2"/>
    </font>
    <font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16" fontId="8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165" fontId="8" fillId="0" borderId="0" xfId="0" applyNumberFormat="1" applyFont="1" applyBorder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 locked="0"/>
    </xf>
    <xf numFmtId="1" fontId="8" fillId="33" borderId="16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left"/>
      <protection locked="0"/>
    </xf>
    <xf numFmtId="0" fontId="8" fillId="33" borderId="16" xfId="0" applyNumberFormat="1" applyFont="1" applyFill="1" applyBorder="1" applyAlignment="1" applyProtection="1">
      <alignment horizontal="left"/>
      <protection locked="0"/>
    </xf>
    <xf numFmtId="164" fontId="8" fillId="33" borderId="16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2" fontId="8" fillId="33" borderId="16" xfId="0" applyNumberFormat="1" applyFont="1" applyFill="1" applyBorder="1" applyAlignment="1" applyProtection="1">
      <alignment horizontal="left"/>
      <protection locked="0"/>
    </xf>
    <xf numFmtId="167" fontId="8" fillId="33" borderId="0" xfId="0" applyNumberFormat="1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right"/>
      <protection/>
    </xf>
    <xf numFmtId="165" fontId="8" fillId="0" borderId="10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1" fontId="8" fillId="0" borderId="17" xfId="0" applyNumberFormat="1" applyFont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166" fontId="8" fillId="33" borderId="16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8" xfId="0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182" fontId="8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164" fontId="8" fillId="0" borderId="1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188" fontId="8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 horizontal="right"/>
      <protection/>
    </xf>
    <xf numFmtId="188" fontId="8" fillId="0" borderId="0" xfId="0" applyNumberFormat="1" applyFont="1" applyBorder="1" applyAlignment="1" applyProtection="1">
      <alignment horizontal="left"/>
      <protection/>
    </xf>
    <xf numFmtId="193" fontId="8" fillId="0" borderId="0" xfId="0" applyNumberFormat="1" applyFont="1" applyBorder="1" applyAlignment="1" applyProtection="1">
      <alignment horizontal="left"/>
      <protection/>
    </xf>
    <xf numFmtId="194" fontId="8" fillId="0" borderId="0" xfId="0" applyNumberFormat="1" applyFont="1" applyBorder="1" applyAlignment="1" applyProtection="1">
      <alignment horizontal="left"/>
      <protection/>
    </xf>
    <xf numFmtId="194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center"/>
      <protection/>
    </xf>
    <xf numFmtId="201" fontId="8" fillId="0" borderId="0" xfId="0" applyNumberFormat="1" applyFont="1" applyBorder="1" applyAlignment="1" applyProtection="1">
      <alignment horizontal="right"/>
      <protection/>
    </xf>
    <xf numFmtId="2" fontId="25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right"/>
    </xf>
    <xf numFmtId="188" fontId="8" fillId="0" borderId="18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190" fontId="8" fillId="0" borderId="0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>
      <alignment horizontal="left"/>
    </xf>
    <xf numFmtId="0" fontId="8" fillId="0" borderId="0" xfId="0" applyNumberFormat="1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/>
      <protection/>
    </xf>
    <xf numFmtId="202" fontId="8" fillId="0" borderId="0" xfId="0" applyNumberFormat="1" applyFont="1" applyBorder="1" applyAlignment="1" applyProtection="1">
      <alignment horizontal="left"/>
      <protection/>
    </xf>
    <xf numFmtId="2" fontId="8" fillId="0" borderId="1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22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2" fontId="0" fillId="0" borderId="25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left"/>
      <protection/>
    </xf>
    <xf numFmtId="2" fontId="0" fillId="0" borderId="2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2" xfId="0" applyNumberFormat="1" applyBorder="1" applyAlignment="1">
      <alignment/>
    </xf>
    <xf numFmtId="185" fontId="0" fillId="0" borderId="19" xfId="0" applyNumberFormat="1" applyBorder="1" applyAlignment="1">
      <alignment/>
    </xf>
    <xf numFmtId="0" fontId="0" fillId="0" borderId="18" xfId="0" applyBorder="1" applyAlignment="1">
      <alignment horizontal="right"/>
    </xf>
    <xf numFmtId="0" fontId="10" fillId="0" borderId="12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1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000000"/>
      </font>
      <border/>
    </dxf>
    <dxf>
      <font>
        <color rgb="FF008000"/>
      </font>
      <border/>
    </dxf>
    <dxf>
      <font>
        <b val="0"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showGridLines="0" tabSelected="1" zoomScalePageLayoutView="0" workbookViewId="0" topLeftCell="A1">
      <selection activeCell="D11" sqref="D11"/>
    </sheetView>
  </sheetViews>
  <sheetFormatPr defaultColWidth="11.625" defaultRowHeight="12.75"/>
  <cols>
    <col min="1" max="1" width="2.75390625" style="0" customWidth="1"/>
    <col min="2" max="2" width="12.375" style="0" customWidth="1"/>
    <col min="3" max="3" width="9.375" style="0" customWidth="1"/>
    <col min="4" max="4" width="11.00390625" style="0" customWidth="1"/>
    <col min="5" max="5" width="10.00390625" style="0" customWidth="1"/>
    <col min="6" max="6" width="8.25390625" style="0" customWidth="1"/>
    <col min="7" max="7" width="10.125" style="0" customWidth="1"/>
    <col min="8" max="8" width="9.75390625" style="1" customWidth="1"/>
    <col min="9" max="9" width="9.625" style="0" customWidth="1"/>
    <col min="10" max="10" width="6.125" style="0" customWidth="1"/>
    <col min="11" max="11" width="7.625" style="0" customWidth="1"/>
    <col min="12" max="12" width="6.625" style="0" customWidth="1"/>
  </cols>
  <sheetData>
    <row r="1" spans="1:57" ht="16.5" thickTop="1">
      <c r="A1" s="11"/>
      <c r="B1" s="150" t="s">
        <v>93</v>
      </c>
      <c r="C1" s="151"/>
      <c r="D1" s="151"/>
      <c r="E1" s="151"/>
      <c r="F1" s="151"/>
      <c r="G1" s="151"/>
      <c r="H1" s="151"/>
      <c r="I1" s="151"/>
      <c r="J1" s="152"/>
      <c r="K1" s="1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5.75">
      <c r="A2" s="11"/>
      <c r="B2" s="153" t="s">
        <v>94</v>
      </c>
      <c r="C2" s="154"/>
      <c r="D2" s="154"/>
      <c r="E2" s="154"/>
      <c r="F2" s="154"/>
      <c r="G2" s="154"/>
      <c r="H2" s="154"/>
      <c r="I2" s="154"/>
      <c r="J2" s="155"/>
      <c r="K2" s="1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2.75">
      <c r="A3" s="11"/>
      <c r="B3" s="156" t="s">
        <v>102</v>
      </c>
      <c r="C3" s="157"/>
      <c r="D3" s="157"/>
      <c r="E3" s="157"/>
      <c r="F3" s="157"/>
      <c r="G3" s="157"/>
      <c r="H3" s="157"/>
      <c r="I3" s="157"/>
      <c r="J3" s="158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11"/>
      <c r="B4" s="159" t="s">
        <v>96</v>
      </c>
      <c r="C4" s="157"/>
      <c r="D4" s="157"/>
      <c r="E4" s="157"/>
      <c r="F4" s="157"/>
      <c r="G4" s="157"/>
      <c r="H4" s="157"/>
      <c r="I4" s="157"/>
      <c r="J4" s="158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>
      <c r="A5" s="11"/>
      <c r="B5" s="159" t="s">
        <v>101</v>
      </c>
      <c r="C5" s="157"/>
      <c r="D5" s="157"/>
      <c r="E5" s="157"/>
      <c r="F5" s="157"/>
      <c r="G5" s="157"/>
      <c r="H5" s="157"/>
      <c r="I5" s="157"/>
      <c r="J5" s="158"/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 customHeight="1" thickBot="1">
      <c r="A6" s="11"/>
      <c r="B6" s="160" t="s">
        <v>95</v>
      </c>
      <c r="C6" s="148"/>
      <c r="D6" s="148"/>
      <c r="E6" s="148"/>
      <c r="F6" s="148"/>
      <c r="G6" s="148"/>
      <c r="H6" s="148"/>
      <c r="I6" s="148"/>
      <c r="J6" s="149"/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 customHeight="1">
      <c r="A7" s="11"/>
      <c r="B7" s="17" t="s">
        <v>0</v>
      </c>
      <c r="C7" s="18" t="s">
        <v>13</v>
      </c>
      <c r="D7" s="19"/>
      <c r="E7" s="19"/>
      <c r="F7" s="18"/>
      <c r="G7" s="18"/>
      <c r="H7" s="20"/>
      <c r="I7" s="20"/>
      <c r="J7" s="21"/>
      <c r="K7" s="1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2.75" customHeight="1" thickBot="1">
      <c r="A8" s="11"/>
      <c r="B8" s="102" t="s">
        <v>82</v>
      </c>
      <c r="C8" s="13" t="s">
        <v>83</v>
      </c>
      <c r="D8" s="14"/>
      <c r="E8" s="14"/>
      <c r="F8" s="13"/>
      <c r="G8" s="13"/>
      <c r="H8" s="15"/>
      <c r="I8" s="15"/>
      <c r="J8" s="16"/>
      <c r="K8" s="1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2" customFormat="1" ht="15.75" customHeight="1">
      <c r="A9" s="11"/>
      <c r="B9" s="144" t="s">
        <v>97</v>
      </c>
      <c r="C9" s="145"/>
      <c r="D9" s="145"/>
      <c r="E9" s="145"/>
      <c r="F9" s="145"/>
      <c r="G9" s="145"/>
      <c r="H9" s="145"/>
      <c r="I9" s="145"/>
      <c r="J9" s="146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2" customFormat="1" ht="12.75" customHeight="1">
      <c r="A10" s="11"/>
      <c r="B10" s="12"/>
      <c r="C10" s="13"/>
      <c r="D10" s="23"/>
      <c r="E10" s="23"/>
      <c r="F10" s="13"/>
      <c r="G10" s="13"/>
      <c r="H10" s="15"/>
      <c r="I10" s="15"/>
      <c r="J10" s="16"/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2" customFormat="1" ht="12.75" customHeight="1">
      <c r="A11" s="11"/>
      <c r="B11" s="22" t="s">
        <v>1</v>
      </c>
      <c r="C11" s="50">
        <v>39199</v>
      </c>
      <c r="D11" s="23"/>
      <c r="E11" s="23"/>
      <c r="F11" s="41" t="s">
        <v>16</v>
      </c>
      <c r="G11" s="41"/>
      <c r="H11" s="15"/>
      <c r="I11" s="42" t="s">
        <v>26</v>
      </c>
      <c r="J11" s="16"/>
      <c r="K11" s="1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2" customFormat="1" ht="12.75" customHeight="1">
      <c r="A12" s="11"/>
      <c r="B12" s="22" t="s">
        <v>2</v>
      </c>
      <c r="C12" s="47" t="s">
        <v>29</v>
      </c>
      <c r="D12" s="48"/>
      <c r="E12" s="23"/>
      <c r="F12" s="13"/>
      <c r="G12" s="13"/>
      <c r="H12" s="24"/>
      <c r="I12" s="15"/>
      <c r="J12" s="16"/>
      <c r="K12" s="1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 customHeight="1">
      <c r="A13" s="11"/>
      <c r="B13" s="22"/>
      <c r="C13" s="13"/>
      <c r="D13" s="13"/>
      <c r="E13" s="76"/>
      <c r="F13" s="13"/>
      <c r="G13" s="13"/>
      <c r="H13" s="15"/>
      <c r="I13" s="15"/>
      <c r="J13" s="16"/>
      <c r="K13" s="11"/>
      <c r="P13" s="6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 customHeight="1">
      <c r="A14" s="11"/>
      <c r="B14" s="26" t="s">
        <v>17</v>
      </c>
      <c r="C14" s="15" t="s">
        <v>48</v>
      </c>
      <c r="D14" s="43">
        <v>140</v>
      </c>
      <c r="E14" s="77"/>
      <c r="F14" s="28" t="s">
        <v>20</v>
      </c>
      <c r="G14" s="28"/>
      <c r="H14" s="15" t="s">
        <v>50</v>
      </c>
      <c r="I14" s="45">
        <v>86</v>
      </c>
      <c r="J14" s="16"/>
      <c r="K14" s="11"/>
      <c r="P14" s="6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 customHeight="1">
      <c r="A15" s="11"/>
      <c r="B15" s="26" t="s">
        <v>23</v>
      </c>
      <c r="C15" s="15" t="s">
        <v>49</v>
      </c>
      <c r="D15" s="46">
        <v>0.5</v>
      </c>
      <c r="E15" s="27"/>
      <c r="F15" s="28" t="s">
        <v>21</v>
      </c>
      <c r="G15" s="28"/>
      <c r="H15" s="15" t="s">
        <v>50</v>
      </c>
      <c r="I15" s="45">
        <v>47</v>
      </c>
      <c r="J15" s="16"/>
      <c r="K15" s="11"/>
      <c r="P15" s="2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 customHeight="1">
      <c r="A16" s="11"/>
      <c r="B16" s="26" t="s">
        <v>19</v>
      </c>
      <c r="C16" s="15" t="s">
        <v>49</v>
      </c>
      <c r="D16" s="46">
        <v>0.25</v>
      </c>
      <c r="E16" s="15"/>
      <c r="F16" s="3" t="s">
        <v>30</v>
      </c>
      <c r="G16" s="3"/>
      <c r="H16" s="15" t="s">
        <v>51</v>
      </c>
      <c r="I16" s="46">
        <v>0.008</v>
      </c>
      <c r="J16" s="16"/>
      <c r="K16" s="11"/>
      <c r="P16" s="2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 customHeight="1">
      <c r="A17" s="11"/>
      <c r="B17" s="26" t="s">
        <v>25</v>
      </c>
      <c r="C17" s="15" t="s">
        <v>49</v>
      </c>
      <c r="D17" s="68">
        <v>0.0747</v>
      </c>
      <c r="E17" s="15"/>
      <c r="F17" s="3" t="s">
        <v>31</v>
      </c>
      <c r="G17" s="3"/>
      <c r="H17" s="15" t="s">
        <v>51</v>
      </c>
      <c r="I17" s="46">
        <v>0.006</v>
      </c>
      <c r="J17" s="16"/>
      <c r="K17" s="12"/>
      <c r="L17" s="30"/>
      <c r="M17" s="15"/>
      <c r="N17" s="3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 customHeight="1">
      <c r="A18" s="11"/>
      <c r="B18" s="26" t="s">
        <v>18</v>
      </c>
      <c r="C18" s="15" t="s">
        <v>53</v>
      </c>
      <c r="D18" s="44">
        <v>36</v>
      </c>
      <c r="E18" s="15"/>
      <c r="F18" s="3" t="s">
        <v>32</v>
      </c>
      <c r="G18" s="3"/>
      <c r="H18" s="15" t="s">
        <v>49</v>
      </c>
      <c r="I18" s="45">
        <v>0.47</v>
      </c>
      <c r="J18" s="16"/>
      <c r="K18" s="12"/>
      <c r="L18" s="30"/>
      <c r="M18" s="15"/>
      <c r="N18" s="3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 customHeight="1">
      <c r="A19" s="11"/>
      <c r="B19" s="51" t="s">
        <v>27</v>
      </c>
      <c r="C19" s="15" t="s">
        <v>53</v>
      </c>
      <c r="D19" s="44">
        <v>24</v>
      </c>
      <c r="E19" s="15"/>
      <c r="F19" s="28" t="s">
        <v>3</v>
      </c>
      <c r="G19" s="28"/>
      <c r="H19" s="15" t="s">
        <v>52</v>
      </c>
      <c r="I19" s="46" t="s">
        <v>4</v>
      </c>
      <c r="J19" s="16"/>
      <c r="K19" s="12"/>
      <c r="L19" s="30"/>
      <c r="M19" s="15"/>
      <c r="N19" s="34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 customHeight="1">
      <c r="A20" s="11"/>
      <c r="B20" s="26"/>
      <c r="E20" s="15"/>
      <c r="F20" s="28" t="s">
        <v>5</v>
      </c>
      <c r="G20" s="28"/>
      <c r="H20" s="15" t="s">
        <v>52</v>
      </c>
      <c r="I20" s="46" t="s">
        <v>6</v>
      </c>
      <c r="J20" s="16"/>
      <c r="K20" s="12"/>
      <c r="L20" s="30"/>
      <c r="M20" s="15"/>
      <c r="N20" s="3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 customHeight="1">
      <c r="A21" s="11"/>
      <c r="B21" s="26" t="s">
        <v>7</v>
      </c>
      <c r="C21" s="15" t="s">
        <v>49</v>
      </c>
      <c r="D21" s="49">
        <v>11</v>
      </c>
      <c r="E21" s="55"/>
      <c r="F21" s="56"/>
      <c r="G21" s="56"/>
      <c r="H21" s="55"/>
      <c r="I21" s="66"/>
      <c r="J21" s="16"/>
      <c r="K21" s="12"/>
      <c r="L21" s="30"/>
      <c r="M21" s="15"/>
      <c r="N21" s="34"/>
      <c r="Q21" s="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 customHeight="1">
      <c r="A22" s="11"/>
      <c r="B22" s="26" t="s">
        <v>8</v>
      </c>
      <c r="C22" s="15" t="s">
        <v>49</v>
      </c>
      <c r="D22" s="49">
        <v>27</v>
      </c>
      <c r="E22" s="55"/>
      <c r="F22" s="26" t="s">
        <v>91</v>
      </c>
      <c r="G22" s="28"/>
      <c r="H22" s="15" t="s">
        <v>54</v>
      </c>
      <c r="I22" s="45">
        <v>1</v>
      </c>
      <c r="J22" s="16"/>
      <c r="K22" s="12"/>
      <c r="L22" s="30"/>
      <c r="M22" s="15"/>
      <c r="N22" s="34"/>
      <c r="O22" s="63"/>
      <c r="P22" s="6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 customHeight="1" thickBot="1">
      <c r="A23" s="11"/>
      <c r="B23" s="26"/>
      <c r="C23" s="15"/>
      <c r="D23" s="64"/>
      <c r="E23" s="15"/>
      <c r="F23" s="28"/>
      <c r="G23" s="28"/>
      <c r="H23" s="15"/>
      <c r="I23" s="54"/>
      <c r="J23" s="16"/>
      <c r="K23" s="11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5.75" customHeight="1">
      <c r="A24" s="11"/>
      <c r="B24" s="144" t="s">
        <v>98</v>
      </c>
      <c r="C24" s="145"/>
      <c r="D24" s="145"/>
      <c r="E24" s="145"/>
      <c r="F24" s="145"/>
      <c r="G24" s="145"/>
      <c r="H24" s="145"/>
      <c r="I24" s="145"/>
      <c r="J24" s="146"/>
      <c r="K24" s="11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 customHeight="1">
      <c r="A25" s="11"/>
      <c r="B25" s="22"/>
      <c r="C25" s="29"/>
      <c r="D25" s="13"/>
      <c r="E25" s="25"/>
      <c r="F25" s="25"/>
      <c r="G25" s="25"/>
      <c r="H25" s="15"/>
      <c r="I25" s="15"/>
      <c r="J25" s="16"/>
      <c r="K25" s="1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7.25" customHeight="1">
      <c r="A26" s="11"/>
      <c r="B26" s="52" t="s">
        <v>22</v>
      </c>
      <c r="C26" s="32" t="s">
        <v>72</v>
      </c>
      <c r="D26" s="32">
        <f>D21*D22</f>
        <v>297</v>
      </c>
      <c r="E26" s="30" t="s">
        <v>68</v>
      </c>
      <c r="F26" s="87">
        <f>I22*D15+2*D16</f>
        <v>1</v>
      </c>
      <c r="G26" s="71" t="str">
        <f>IF(F26&gt;=2*I18,"&gt;","&lt;")</f>
        <v>&gt;</v>
      </c>
      <c r="H26" s="93" t="s">
        <v>79</v>
      </c>
      <c r="I26" s="15" t="str">
        <f>IF(F26&gt;=2*I18,"OK","NG")</f>
        <v>OK</v>
      </c>
      <c r="J26" s="72"/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1"/>
      <c r="B27" s="52" t="s">
        <v>9</v>
      </c>
      <c r="C27" s="32" t="s">
        <v>71</v>
      </c>
      <c r="D27" s="33">
        <f>D21*D22*0.5/(D15*(D21+D22))</f>
        <v>7.815789473684211</v>
      </c>
      <c r="E27" s="13"/>
      <c r="F27" s="30"/>
      <c r="G27" s="30"/>
      <c r="H27" s="15"/>
      <c r="I27" s="15"/>
      <c r="J27" s="16"/>
      <c r="K27" s="1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 customHeight="1">
      <c r="A28" s="11"/>
      <c r="B28" s="57"/>
      <c r="E28" s="27"/>
      <c r="J28" s="16"/>
      <c r="K28" s="1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1"/>
      <c r="B29" s="57"/>
      <c r="C29" s="67" t="s">
        <v>81</v>
      </c>
      <c r="E29" s="13"/>
      <c r="G29" s="67" t="s">
        <v>81</v>
      </c>
      <c r="J29" s="72"/>
      <c r="K29" s="1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1"/>
      <c r="B30" s="57"/>
      <c r="C30" s="67" t="s">
        <v>66</v>
      </c>
      <c r="E30" s="13"/>
      <c r="G30" s="67" t="s">
        <v>67</v>
      </c>
      <c r="J30" s="72"/>
      <c r="K30" s="1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5.75">
      <c r="A31" s="11"/>
      <c r="B31" s="73" t="s">
        <v>39</v>
      </c>
      <c r="C31" s="78">
        <f>I18/F26</f>
        <v>0.47</v>
      </c>
      <c r="D31" s="27"/>
      <c r="E31" s="13"/>
      <c r="F31" s="81" t="s">
        <v>39</v>
      </c>
      <c r="G31" s="78">
        <v>0</v>
      </c>
      <c r="H31" s="3"/>
      <c r="J31" s="72"/>
      <c r="K31" s="11"/>
      <c r="M31" s="2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 customHeight="1">
      <c r="A32" s="11"/>
      <c r="B32" s="73" t="s">
        <v>40</v>
      </c>
      <c r="C32" s="78">
        <v>0</v>
      </c>
      <c r="D32" s="27"/>
      <c r="E32" s="13"/>
      <c r="F32" s="81" t="s">
        <v>40</v>
      </c>
      <c r="G32" s="78">
        <v>0</v>
      </c>
      <c r="H32" s="3"/>
      <c r="J32" s="72"/>
      <c r="K32" s="11"/>
      <c r="M32" s="2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 customHeight="1">
      <c r="A33" s="11"/>
      <c r="B33" s="73" t="s">
        <v>44</v>
      </c>
      <c r="C33" s="78">
        <f>C71*H40/D14/D27</f>
        <v>0.3709439367058993</v>
      </c>
      <c r="D33" s="71" t="str">
        <f>IF(C33&lt;=3,"&lt; 3.00 OK","&gt; 3.00 NG")</f>
        <v>&lt; 3.00 OK</v>
      </c>
      <c r="E33" s="69"/>
      <c r="F33" s="81" t="s">
        <v>44</v>
      </c>
      <c r="G33" s="78">
        <f>D71*H40/D14/D27</f>
        <v>0.30000975469936514</v>
      </c>
      <c r="H33" s="71" t="str">
        <f>IF(G33&lt;=3,"&lt; 3.00 OK","&gt; 3.00 NG")</f>
        <v>&lt; 3.00 OK</v>
      </c>
      <c r="J33" s="72"/>
      <c r="K33" s="11"/>
      <c r="M33" s="27"/>
      <c r="N33" s="71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 customHeight="1">
      <c r="A34" s="11"/>
      <c r="B34" s="73" t="s">
        <v>43</v>
      </c>
      <c r="C34" s="78">
        <f>C71*H41/D14/D27</f>
        <v>0.2027251747113636</v>
      </c>
      <c r="D34" s="27"/>
      <c r="E34" s="13"/>
      <c r="F34" s="81" t="s">
        <v>43</v>
      </c>
      <c r="G34" s="78">
        <f>D71*H41/D14/D27</f>
        <v>0.1639588194287228</v>
      </c>
      <c r="H34" s="3"/>
      <c r="J34" s="72"/>
      <c r="K34" s="11"/>
      <c r="M34" s="2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 customHeight="1">
      <c r="A35" s="11"/>
      <c r="B35" s="73" t="s">
        <v>42</v>
      </c>
      <c r="C35" s="78">
        <f>C72*(D21/D15)^2*I16/(I22+IF(D16&gt;=0.5*D15,1,0))</f>
        <v>0.968</v>
      </c>
      <c r="D35" s="27"/>
      <c r="E35" s="13"/>
      <c r="F35" s="81" t="s">
        <v>42</v>
      </c>
      <c r="G35" s="78">
        <f>D72*(D22/D15)^2*0.01/(I22+IF(D16&gt;=0.5*D15,1,0))</f>
        <v>4.327245952860734</v>
      </c>
      <c r="H35" s="3"/>
      <c r="J35" s="72"/>
      <c r="K35" s="11"/>
      <c r="M35" s="2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 customHeight="1">
      <c r="A36" s="11"/>
      <c r="B36" s="73" t="s">
        <v>41</v>
      </c>
      <c r="C36" s="78">
        <f>C72*(D21/D15)^2*I17/(I22+IF(D16&gt;=0.5*D15,1,0))</f>
        <v>0.726</v>
      </c>
      <c r="D36" s="27"/>
      <c r="E36" s="13"/>
      <c r="F36" s="81" t="s">
        <v>41</v>
      </c>
      <c r="G36" s="78">
        <v>0</v>
      </c>
      <c r="H36" s="3"/>
      <c r="J36" s="72"/>
      <c r="K36" s="11"/>
      <c r="M36" s="2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5.75" customHeight="1">
      <c r="A37" s="11"/>
      <c r="B37" s="73" t="s">
        <v>45</v>
      </c>
      <c r="C37" s="80">
        <f>(C31+C33+C35)+1.75*(C32+C34+C36)</f>
        <v>3.4342129924507856</v>
      </c>
      <c r="D37" s="71" t="str">
        <f>IF(C37&lt;=5,"&lt; 5.00 OK","&gt; 5.00 NG")</f>
        <v>&lt; 5.00 OK</v>
      </c>
      <c r="E37" s="69"/>
      <c r="F37" s="81" t="s">
        <v>45</v>
      </c>
      <c r="G37" s="80">
        <f>(G31+G33+G35)+1.75*(G32+G34+G36)</f>
        <v>4.914183641560364</v>
      </c>
      <c r="H37" s="71" t="str">
        <f>IF(G37&lt;=5,"&lt; 5.00 OK","&gt; 5.00 NG")</f>
        <v>&lt; 5.00 OK</v>
      </c>
      <c r="J37" s="72"/>
      <c r="K37" s="11"/>
      <c r="M37" s="27"/>
      <c r="N37" s="7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 customHeight="1">
      <c r="A38" s="11"/>
      <c r="B38" s="31"/>
      <c r="C38" s="15"/>
      <c r="D38" s="33"/>
      <c r="E38" s="58"/>
      <c r="F38" s="58"/>
      <c r="G38" s="58"/>
      <c r="H38" s="15"/>
      <c r="I38" s="27"/>
      <c r="J38" s="16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 customHeight="1">
      <c r="A39" s="11"/>
      <c r="B39" s="31"/>
      <c r="C39" s="70" t="s">
        <v>35</v>
      </c>
      <c r="D39" s="33"/>
      <c r="E39" s="58"/>
      <c r="G39" s="79" t="s">
        <v>33</v>
      </c>
      <c r="J39" s="72"/>
      <c r="K39" s="1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 customHeight="1">
      <c r="A40" s="11"/>
      <c r="B40" s="62" t="s">
        <v>38</v>
      </c>
      <c r="C40" s="101" t="str">
        <f>IF(H42&lt;D40,"&lt;","&gt;")</f>
        <v>&lt;</v>
      </c>
      <c r="D40" s="36" t="str">
        <f>IF(D14*D27/(E59*C59-D59)&gt;0,D14*D27/(E59*C59-D59),"N/A")</f>
        <v>N/A</v>
      </c>
      <c r="E40" s="13" t="str">
        <f>IF(D40="N/A ( x - dir. )","OK ( x - dir. )",IF(H42&lt;D40,"OK ( x - dir. )","NG ( x - dir. )"))</f>
        <v>OK ( x - dir. )</v>
      </c>
      <c r="G40" s="34" t="s">
        <v>56</v>
      </c>
      <c r="H40" s="88">
        <f>I14/D26*1000</f>
        <v>289.56228956228955</v>
      </c>
      <c r="J40" s="72"/>
      <c r="K40" s="1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 customHeight="1">
      <c r="A41" s="11"/>
      <c r="B41" s="62" t="s">
        <v>38</v>
      </c>
      <c r="C41" s="101" t="str">
        <f>IF(H42&lt;D41,"&lt;","&gt;")</f>
        <v>&lt;</v>
      </c>
      <c r="D41" s="36" t="str">
        <f>IF(D14*D27/(E60*C60-D60)&gt;0,D14*D27/(E60*C60-D60),"N/A")</f>
        <v>N/A</v>
      </c>
      <c r="E41" s="13" t="str">
        <f>IF(D41="N/A ( y - dir. )","OK ( y - dir. )",IF(H42&lt;D41,"OK ( y - dir. )","NG ( y - dir. )"))</f>
        <v>OK ( y - dir. )</v>
      </c>
      <c r="G41" s="34" t="s">
        <v>46</v>
      </c>
      <c r="H41" s="88">
        <f>I15/D26*1000</f>
        <v>158.24915824915826</v>
      </c>
      <c r="J41" s="72"/>
      <c r="K41" s="1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2.75" customHeight="1">
      <c r="A42" s="11"/>
      <c r="B42" s="104">
        <f>(I16+1.75*I17)*D27/3/(I22+IF(D16&gt;=0.5*D15,1,0))/(H40+1.75*H41)*D45</f>
        <v>2.182828917721145</v>
      </c>
      <c r="C42" s="105" t="str">
        <f>IF(B42&gt;1,"&gt;1.00","&lt;1.00")</f>
        <v>&gt;1.00</v>
      </c>
      <c r="D42" s="15" t="str">
        <f>IF(B42&gt;1,"RESTRAINT SYSTEM REQD.","NO RESTRAINT REQD.")</f>
        <v>RESTRAINT SYSTEM REQD.</v>
      </c>
      <c r="E42" s="27"/>
      <c r="G42" s="98" t="s">
        <v>47</v>
      </c>
      <c r="H42" s="88">
        <f>H40+H41</f>
        <v>447.8114478114478</v>
      </c>
      <c r="J42" s="72"/>
      <c r="K42" s="1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 customHeight="1">
      <c r="A43" s="11"/>
      <c r="B43" s="57"/>
      <c r="D43" s="106" t="str">
        <f>IF(B42&gt;1,"[See LRFD Sect. 14.7.5.4]","")</f>
        <v>[See LRFD Sect. 14.7.5.4]</v>
      </c>
      <c r="E43" s="13"/>
      <c r="J43" s="72"/>
      <c r="K43" s="1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 customHeight="1">
      <c r="A44" s="11"/>
      <c r="B44" s="82"/>
      <c r="C44" s="70" t="s">
        <v>55</v>
      </c>
      <c r="D44" s="27"/>
      <c r="E44" s="13"/>
      <c r="F44" s="30"/>
      <c r="G44" s="70" t="s">
        <v>34</v>
      </c>
      <c r="H44" s="34"/>
      <c r="I44" s="27"/>
      <c r="J44" s="72"/>
      <c r="K44" s="11"/>
      <c r="L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 customHeight="1">
      <c r="A45" s="11"/>
      <c r="B45" s="31" t="s">
        <v>24</v>
      </c>
      <c r="C45" s="94" t="s">
        <v>80</v>
      </c>
      <c r="D45" s="103">
        <f>6*D14*D27^2</f>
        <v>51312.71468144045</v>
      </c>
      <c r="E45" s="13"/>
      <c r="F45" s="75" t="s">
        <v>73</v>
      </c>
      <c r="G45" s="91" t="str">
        <f>IF($D$17&lt;$H$45,"&lt;","≥")</f>
        <v>≥</v>
      </c>
      <c r="H45" s="89">
        <f>3*D15*H42/D18/1000</f>
        <v>0.01865881032547699</v>
      </c>
      <c r="I45" s="13" t="str">
        <f>IF(D17&gt;=H45,"OK","NG")</f>
        <v>OK</v>
      </c>
      <c r="J45" s="72"/>
      <c r="K45" s="11"/>
      <c r="L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 customHeight="1">
      <c r="A46" s="11"/>
      <c r="B46" s="62" t="s">
        <v>57</v>
      </c>
      <c r="C46" s="94" t="s">
        <v>80</v>
      </c>
      <c r="D46" s="90">
        <f>I14*1000*F26/D26/D45</f>
        <v>0.00564309043791485</v>
      </c>
      <c r="E46" s="13"/>
      <c r="F46" s="75" t="s">
        <v>74</v>
      </c>
      <c r="G46" s="91" t="str">
        <f>IF($D$17&lt;$H$46,"&lt;","≥")</f>
        <v>≥</v>
      </c>
      <c r="H46" s="89">
        <f>2*D15*H41/D19/1000</f>
        <v>0.006593714927048261</v>
      </c>
      <c r="I46" s="13" t="str">
        <f>IF(D17&gt;=H46,"OK","NG")</f>
        <v>OK</v>
      </c>
      <c r="J46" s="72"/>
      <c r="K46" s="11"/>
      <c r="L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 customHeight="1">
      <c r="A47" s="11"/>
      <c r="B47" s="62" t="s">
        <v>28</v>
      </c>
      <c r="C47" s="94" t="s">
        <v>80</v>
      </c>
      <c r="D47" s="90">
        <f>I15*1000*F26/D26/D45</f>
        <v>0.0030840145416511392</v>
      </c>
      <c r="E47" s="13"/>
      <c r="F47" s="53" t="s">
        <v>75</v>
      </c>
      <c r="G47" s="91" t="str">
        <f>IF($D$17&lt;$H$47,"&lt;","≥")</f>
        <v>≥</v>
      </c>
      <c r="H47" s="89">
        <v>0.0625</v>
      </c>
      <c r="I47" s="13" t="str">
        <f>IF(D17&gt;=H47,"OK","NG")</f>
        <v>OK</v>
      </c>
      <c r="J47" s="72"/>
      <c r="K47" s="11"/>
      <c r="L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 customHeight="1">
      <c r="A48" s="11"/>
      <c r="B48" s="83"/>
      <c r="C48" s="15"/>
      <c r="D48" s="27"/>
      <c r="E48" s="13"/>
      <c r="J48" s="72"/>
      <c r="K48" s="1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11" s="69" customFormat="1" ht="15.75" customHeight="1" thickBot="1">
      <c r="A49" s="13"/>
      <c r="B49" s="147" t="s">
        <v>100</v>
      </c>
      <c r="C49" s="148"/>
      <c r="D49" s="148"/>
      <c r="E49" s="148"/>
      <c r="F49" s="148"/>
      <c r="G49" s="148"/>
      <c r="H49" s="148"/>
      <c r="I49" s="148"/>
      <c r="J49" s="149"/>
      <c r="K49" s="13"/>
    </row>
    <row r="50" spans="1:11" ht="15.75" customHeight="1">
      <c r="A50" s="11"/>
      <c r="B50" s="144" t="s">
        <v>99</v>
      </c>
      <c r="C50" s="145"/>
      <c r="D50" s="145"/>
      <c r="E50" s="145"/>
      <c r="F50" s="145"/>
      <c r="G50" s="145"/>
      <c r="H50" s="145"/>
      <c r="I50" s="145"/>
      <c r="J50" s="146"/>
      <c r="K50" s="11"/>
    </row>
    <row r="51" spans="1:11" ht="12" customHeight="1">
      <c r="A51" s="11"/>
      <c r="B51" s="57"/>
      <c r="C51" s="95" t="s">
        <v>77</v>
      </c>
      <c r="D51" s="85">
        <f>D21</f>
        <v>11</v>
      </c>
      <c r="G51" s="38"/>
      <c r="H51" s="38" t="s">
        <v>76</v>
      </c>
      <c r="I51" s="86">
        <f>(D62*F26+D63*(I22+1)*D17)*D26</f>
        <v>25.55494326</v>
      </c>
      <c r="J51" s="16"/>
      <c r="K51" s="11"/>
    </row>
    <row r="52" spans="1:11" ht="12.75">
      <c r="A52" s="11"/>
      <c r="B52" s="31"/>
      <c r="C52" s="85" t="s">
        <v>78</v>
      </c>
      <c r="D52" s="85">
        <f>D22</f>
        <v>27</v>
      </c>
      <c r="E52" s="25"/>
      <c r="G52" s="38"/>
      <c r="H52" s="38" t="s">
        <v>84</v>
      </c>
      <c r="I52" s="92">
        <f>0.5*F26</f>
        <v>0.5</v>
      </c>
      <c r="J52" s="16"/>
      <c r="K52" s="11"/>
    </row>
    <row r="53" spans="1:11" ht="12.75">
      <c r="A53" s="11"/>
      <c r="B53" s="57"/>
      <c r="C53" s="30" t="s">
        <v>69</v>
      </c>
      <c r="D53" s="85">
        <f>F26+(I22+1)*D17</f>
        <v>1.1494</v>
      </c>
      <c r="E53" s="37"/>
      <c r="G53" s="38"/>
      <c r="H53" s="38" t="s">
        <v>92</v>
      </c>
      <c r="I53" s="99">
        <f>0.0005*D14*D26</f>
        <v>20.790000000000003</v>
      </c>
      <c r="J53" s="16"/>
      <c r="K53" s="11"/>
    </row>
    <row r="54" spans="1:11" ht="13.5" thickBot="1">
      <c r="A54" s="11"/>
      <c r="B54" s="84"/>
      <c r="C54" s="96" t="s">
        <v>70</v>
      </c>
      <c r="D54" s="97">
        <f>D53-D46</f>
        <v>1.1437569095620852</v>
      </c>
      <c r="E54" s="60"/>
      <c r="F54" s="74"/>
      <c r="G54" s="74"/>
      <c r="H54" s="100"/>
      <c r="I54" s="143" t="s">
        <v>103</v>
      </c>
      <c r="J54" s="35"/>
      <c r="K54" s="11"/>
    </row>
    <row r="55" spans="1:11" ht="13.5" thickTop="1">
      <c r="A55" s="11"/>
      <c r="B55" s="39"/>
      <c r="C55" s="40"/>
      <c r="D55" s="11"/>
      <c r="E55" s="59"/>
      <c r="F55" s="11"/>
      <c r="G55" s="11"/>
      <c r="H55" s="40"/>
      <c r="I55" s="11"/>
      <c r="J55" s="11"/>
      <c r="K55" s="11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7" t="s">
        <v>10</v>
      </c>
      <c r="C57" s="5"/>
      <c r="D57" s="4"/>
      <c r="E57" s="4"/>
      <c r="F57" s="4"/>
      <c r="G57" s="4"/>
      <c r="H57" s="5"/>
      <c r="I57" s="4"/>
      <c r="J57" s="4"/>
      <c r="K57" s="4"/>
    </row>
    <row r="58" spans="1:11" ht="12.75">
      <c r="A58" s="4"/>
      <c r="B58" s="107"/>
      <c r="C58" s="108" t="s">
        <v>36</v>
      </c>
      <c r="D58" s="108" t="s">
        <v>37</v>
      </c>
      <c r="E58" s="109" t="s">
        <v>11</v>
      </c>
      <c r="F58" s="4"/>
      <c r="G58" s="4"/>
      <c r="H58" s="4"/>
      <c r="I58" s="4"/>
      <c r="J58" s="4"/>
      <c r="K58" s="4"/>
    </row>
    <row r="59" spans="1:11" ht="12.75">
      <c r="A59" s="4"/>
      <c r="B59" s="110" t="s">
        <v>12</v>
      </c>
      <c r="C59" s="111">
        <f>1.92*F26/D21/(1+2*D21/D22)^0.5</f>
        <v>0.12956639807268483</v>
      </c>
      <c r="D59" s="112">
        <f>2.67/(D27+2)/(1+D21/4/D22)</f>
        <v>0.24686687543650165</v>
      </c>
      <c r="E59" s="113">
        <f>IF(OR(I19="Y",I19="y"),1,2)</f>
        <v>1</v>
      </c>
      <c r="F59" s="4"/>
      <c r="G59" s="4"/>
      <c r="H59" s="4"/>
      <c r="I59" s="4"/>
      <c r="J59" s="4"/>
      <c r="K59" s="4"/>
    </row>
    <row r="60" spans="1:11" ht="12.75">
      <c r="A60" s="4"/>
      <c r="B60" s="114" t="s">
        <v>12</v>
      </c>
      <c r="C60" s="115">
        <f>1.92*F26/D22/(1+2*D22/D21)^0.5</f>
        <v>0.029253452487375726</v>
      </c>
      <c r="D60" s="116">
        <f>2.67/(D27+2)/(1+D22/4/D21)</f>
        <v>0.16857002605444998</v>
      </c>
      <c r="E60" s="117">
        <f>IF(OR(I20="Y",I20="y"),1,2)</f>
        <v>2</v>
      </c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6"/>
      <c r="I61" s="4"/>
      <c r="J61" s="4"/>
      <c r="K61" s="4"/>
    </row>
    <row r="62" spans="1:11" ht="14.25">
      <c r="A62" s="4"/>
      <c r="B62" s="107" t="s">
        <v>15</v>
      </c>
      <c r="C62" s="118"/>
      <c r="D62" s="119">
        <v>0.04336</v>
      </c>
      <c r="E62" s="4"/>
      <c r="G62" s="4"/>
      <c r="H62" s="5"/>
      <c r="J62" s="4"/>
      <c r="K62" s="4"/>
    </row>
    <row r="63" spans="1:11" ht="14.25">
      <c r="A63" s="4"/>
      <c r="B63" s="114" t="s">
        <v>14</v>
      </c>
      <c r="C63" s="120"/>
      <c r="D63" s="121">
        <v>0.2857</v>
      </c>
      <c r="E63" s="4"/>
      <c r="G63" s="4"/>
      <c r="H63" s="5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6"/>
      <c r="I64" s="4"/>
      <c r="J64" s="4"/>
      <c r="K64" s="4"/>
    </row>
    <row r="65" spans="1:11" ht="12.75">
      <c r="A65" s="9"/>
      <c r="B65" s="107" t="s">
        <v>60</v>
      </c>
      <c r="C65" s="122">
        <f>D27*(3*D14/450000)^0.5</f>
        <v>0.2387763125266464</v>
      </c>
      <c r="D65" s="123"/>
      <c r="E65" s="4"/>
      <c r="F65" s="9"/>
      <c r="G65" s="9"/>
      <c r="H65" s="10"/>
      <c r="I65" s="9"/>
      <c r="J65" s="9"/>
      <c r="K65" s="9"/>
    </row>
    <row r="66" spans="1:11" ht="12.75">
      <c r="A66" s="9"/>
      <c r="B66" s="124" t="s">
        <v>58</v>
      </c>
      <c r="C66" s="125">
        <f>1.06+0.21*C65+0.413*C65^2</f>
        <v>1.1336898602566345</v>
      </c>
      <c r="D66" s="126"/>
      <c r="E66" s="9"/>
      <c r="F66" s="9"/>
      <c r="G66" s="9"/>
      <c r="H66" s="10"/>
      <c r="I66" s="9"/>
      <c r="J66" s="9"/>
      <c r="K66" s="9"/>
    </row>
    <row r="67" spans="1:11" ht="12.75">
      <c r="A67" s="9"/>
      <c r="B67" s="124" t="s">
        <v>59</v>
      </c>
      <c r="C67" s="125">
        <f>1.506-0.071*C65+0.406*C65^2</f>
        <v>1.51219461754468</v>
      </c>
      <c r="D67" s="126"/>
      <c r="E67" s="9"/>
      <c r="F67" s="9"/>
      <c r="G67" s="9"/>
      <c r="H67" s="10"/>
      <c r="I67" s="9"/>
      <c r="J67" s="9"/>
      <c r="K67" s="9"/>
    </row>
    <row r="68" spans="1:11" ht="12.75">
      <c r="A68" s="9"/>
      <c r="B68" s="124" t="s">
        <v>61</v>
      </c>
      <c r="C68" s="125">
        <f>-0.315+0.195*C65-0.047*C65^2</f>
        <v>-0.2711182830462236</v>
      </c>
      <c r="D68" s="126"/>
      <c r="E68" s="9"/>
      <c r="F68" s="9"/>
      <c r="G68" s="9"/>
      <c r="H68" s="10"/>
      <c r="I68" s="9"/>
      <c r="J68" s="9"/>
      <c r="K68" s="9"/>
    </row>
    <row r="69" spans="1:11" ht="12.75">
      <c r="A69" s="9"/>
      <c r="B69" s="124"/>
      <c r="C69" s="125"/>
      <c r="D69" s="126"/>
      <c r="E69" s="9"/>
      <c r="F69" s="9"/>
      <c r="G69" s="9"/>
      <c r="H69" s="10"/>
      <c r="I69" s="9"/>
      <c r="J69" s="9"/>
      <c r="K69" s="9"/>
    </row>
    <row r="70" spans="1:11" ht="12.75">
      <c r="A70" s="9"/>
      <c r="B70" s="124"/>
      <c r="C70" s="127" t="s">
        <v>64</v>
      </c>
      <c r="D70" s="128" t="s">
        <v>65</v>
      </c>
      <c r="E70" s="9"/>
      <c r="F70" s="9"/>
      <c r="G70" s="9"/>
      <c r="H70" s="10"/>
      <c r="I70" s="9"/>
      <c r="J70" s="9"/>
      <c r="K70" s="9"/>
    </row>
    <row r="71" spans="1:11" ht="12.75">
      <c r="A71" s="9"/>
      <c r="B71" s="124" t="s">
        <v>62</v>
      </c>
      <c r="C71" s="125">
        <f>MAX(C66,C67+C68*D21/D22)</f>
        <v>1.4017390207480704</v>
      </c>
      <c r="D71" s="126">
        <f>MAX(C66,C67+C68*D22/D21)</f>
        <v>1.1336898602566345</v>
      </c>
      <c r="E71" s="9"/>
      <c r="F71" s="9"/>
      <c r="G71" s="9"/>
      <c r="H71" s="10"/>
      <c r="I71" s="9"/>
      <c r="J71" s="9"/>
      <c r="K71" s="9"/>
    </row>
    <row r="72" spans="1:11" ht="12.75">
      <c r="A72" s="9"/>
      <c r="B72" s="129" t="s">
        <v>63</v>
      </c>
      <c r="C72" s="130">
        <f>MIN((1.552-0.627*C65)/(2.233+0.156*C65+D21/D22),0.5)</f>
        <v>0.5</v>
      </c>
      <c r="D72" s="131">
        <f>MIN((1.552-0.627*C65)/(2.233+0.156*C65+D22/D21),0.5)</f>
        <v>0.296793275230503</v>
      </c>
      <c r="E72" s="9"/>
      <c r="F72" s="9"/>
      <c r="G72" s="9"/>
      <c r="H72" s="10"/>
      <c r="I72" s="9"/>
      <c r="J72" s="9"/>
      <c r="K72" s="9"/>
    </row>
    <row r="73" ht="12.75">
      <c r="E73" s="9"/>
    </row>
    <row r="74" spans="2:5" ht="12.75">
      <c r="B74" s="132" t="s">
        <v>85</v>
      </c>
      <c r="C74" s="133">
        <f>2.31-1.86*C65+(-0.9+0.96*C65)*(1-MIN(D21/D22,D22/D21))^2</f>
        <v>1.6303227892444</v>
      </c>
      <c r="D74" s="133"/>
      <c r="E74" s="134"/>
    </row>
    <row r="75" spans="2:5" ht="12.75">
      <c r="B75" s="124" t="s">
        <v>86</v>
      </c>
      <c r="C75" s="69">
        <f>(H40+1.75*H41)/3/C74/D14/D27^2</f>
        <v>0.013543472444399886</v>
      </c>
      <c r="D75" s="69"/>
      <c r="E75" s="135"/>
    </row>
    <row r="76" spans="2:5" ht="12.75">
      <c r="B76" s="124" t="s">
        <v>88</v>
      </c>
      <c r="C76" s="69">
        <f>C75*(I22+IF(D16&gt;=0.5*D15,1,0))/D27/(I16+1.75*I17)</f>
        <v>0.18733349818443737</v>
      </c>
      <c r="D76" s="69"/>
      <c r="E76" s="135"/>
    </row>
    <row r="77" spans="2:5" ht="12.75">
      <c r="B77" s="124" t="s">
        <v>87</v>
      </c>
      <c r="C77" s="69">
        <f>4/3*((C76^2+1/3)^1.5-C76*(1-C76^2))</f>
        <v>0.05715923098537852</v>
      </c>
      <c r="D77" s="69"/>
      <c r="E77" s="135"/>
    </row>
    <row r="78" spans="2:5" ht="12.75">
      <c r="B78" s="124" t="s">
        <v>89</v>
      </c>
      <c r="C78" s="136">
        <f>3*D14*D27^3*(I16+1.75*I17)/(I22+IF(D16&gt;=0.5*D15,1,0))*C77</f>
        <v>106.02199168478771</v>
      </c>
      <c r="D78" s="69"/>
      <c r="E78" s="135"/>
    </row>
    <row r="79" spans="2:5" ht="12.75">
      <c r="B79" s="124" t="s">
        <v>90</v>
      </c>
      <c r="C79" s="136">
        <f>2.25*D14</f>
        <v>315</v>
      </c>
      <c r="D79" s="69"/>
      <c r="E79" s="135"/>
    </row>
    <row r="80" spans="2:5" ht="12.75">
      <c r="B80" s="129" t="str">
        <f>IF(C78&gt;C79,"HYDROSTATIC STRESS EXCEEDED","HYDROSTATIC STRESS WITHIN ALLOWABLE")</f>
        <v>HYDROSTATIC STRESS WITHIN ALLOWABLE</v>
      </c>
      <c r="C80" s="137"/>
      <c r="D80" s="137"/>
      <c r="E80" s="138"/>
    </row>
    <row r="82" spans="2:4" ht="12.75">
      <c r="B82" s="141">
        <f>D14*D26*I18/F26/1000</f>
        <v>19.5426</v>
      </c>
      <c r="C82" s="142">
        <f>I14/5</f>
        <v>17.2</v>
      </c>
      <c r="D82" s="134"/>
    </row>
    <row r="83" spans="2:4" ht="12.75">
      <c r="B83" s="140" t="str">
        <f>(IF(D14*D26*I18/F26/1000&gt;I14/5,"RESTRAINT SYSTEM REQD.","NO RESTRAINT SYSTEM REQD."))</f>
        <v>RESTRAINT SYSTEM REQD.</v>
      </c>
      <c r="C83" s="69"/>
      <c r="D83" s="135"/>
    </row>
    <row r="84" spans="2:4" ht="12.75">
      <c r="B84" s="139" t="str">
        <f>(IF(D14*D26*I18/F26/1000&gt;I14/5,"HORIZ. FORCE &gt; P(DL) / 5","HORIZ. FORCE &lt; P(DL) / 5"))</f>
        <v>HORIZ. FORCE &gt; P(DL) / 5</v>
      </c>
      <c r="C84" s="137"/>
      <c r="D84" s="138"/>
    </row>
  </sheetData>
  <sheetProtection password="EF1C" sheet="1" objects="1" scenarios="1"/>
  <mergeCells count="10">
    <mergeCell ref="B9:J9"/>
    <mergeCell ref="B24:J24"/>
    <mergeCell ref="B50:J50"/>
    <mergeCell ref="B49:J49"/>
    <mergeCell ref="B1:J1"/>
    <mergeCell ref="B2:J2"/>
    <mergeCell ref="B3:J3"/>
    <mergeCell ref="B4:J4"/>
    <mergeCell ref="B5:J5"/>
    <mergeCell ref="B6:J6"/>
  </mergeCells>
  <conditionalFormatting sqref="G46:H46">
    <cfRule type="expression" priority="1" dxfId="30" stopIfTrue="1">
      <formula>$D$17&lt;$H$46</formula>
    </cfRule>
  </conditionalFormatting>
  <conditionalFormatting sqref="G47:H47">
    <cfRule type="expression" priority="2" dxfId="30" stopIfTrue="1">
      <formula>$D$17&lt;$H$47</formula>
    </cfRule>
  </conditionalFormatting>
  <conditionalFormatting sqref="I45:I47 J38 E43:E45">
    <cfRule type="cellIs" priority="3" dxfId="30" operator="equal" stopIfTrue="1">
      <formula>"NG"</formula>
    </cfRule>
    <cfRule type="cellIs" priority="4" dxfId="31" operator="equal" stopIfTrue="1">
      <formula>"OK"</formula>
    </cfRule>
  </conditionalFormatting>
  <conditionalFormatting sqref="G45:H45">
    <cfRule type="expression" priority="5" dxfId="30" stopIfTrue="1">
      <formula>$D$17&lt;$H$45</formula>
    </cfRule>
  </conditionalFormatting>
  <conditionalFormatting sqref="N37 H37 D37">
    <cfRule type="cellIs" priority="6" dxfId="30" operator="equal" stopIfTrue="1">
      <formula>"&gt; 5.00 NG"</formula>
    </cfRule>
    <cfRule type="cellIs" priority="7" dxfId="31" operator="equal" stopIfTrue="1">
      <formula>"&lt; 5.00 OK"</formula>
    </cfRule>
  </conditionalFormatting>
  <conditionalFormatting sqref="N33 H33 D33">
    <cfRule type="cellIs" priority="8" dxfId="30" operator="equal" stopIfTrue="1">
      <formula>"&gt; 3.00 NG"</formula>
    </cfRule>
    <cfRule type="cellIs" priority="9" dxfId="31" operator="equal" stopIfTrue="1">
      <formula>"&lt; 3.00 OK"</formula>
    </cfRule>
  </conditionalFormatting>
  <conditionalFormatting sqref="I26:I27">
    <cfRule type="cellIs" priority="10" dxfId="32" operator="equal" stopIfTrue="1">
      <formula>"OK"</formula>
    </cfRule>
    <cfRule type="cellIs" priority="11" dxfId="30" operator="equal" stopIfTrue="1">
      <formula>"NG"</formula>
    </cfRule>
  </conditionalFormatting>
  <conditionalFormatting sqref="J28 E29:E30">
    <cfRule type="cellIs" priority="12" dxfId="30" operator="equal" stopIfTrue="1">
      <formula>"NG"</formula>
    </cfRule>
    <cfRule type="cellIs" priority="13" dxfId="33" operator="equal" stopIfTrue="1">
      <formula>"OK"</formula>
    </cfRule>
  </conditionalFormatting>
  <conditionalFormatting sqref="G26">
    <cfRule type="cellIs" priority="14" dxfId="32" operator="equal" stopIfTrue="1">
      <formula>"&gt;"</formula>
    </cfRule>
    <cfRule type="cellIs" priority="15" dxfId="30" operator="equal" stopIfTrue="1">
      <formula>"&lt;"</formula>
    </cfRule>
  </conditionalFormatting>
  <conditionalFormatting sqref="F27:G27">
    <cfRule type="cellIs" priority="16" dxfId="34" operator="equal" stopIfTrue="1">
      <formula>"&gt;"</formula>
    </cfRule>
    <cfRule type="cellIs" priority="17" dxfId="30" operator="equal" stopIfTrue="1">
      <formula>"&lt;"</formula>
    </cfRule>
  </conditionalFormatting>
  <conditionalFormatting sqref="D40:D41">
    <cfRule type="cellIs" priority="18" dxfId="30" operator="lessThan" stopIfTrue="1">
      <formula>$H$42</formula>
    </cfRule>
  </conditionalFormatting>
  <conditionalFormatting sqref="C40:C41">
    <cfRule type="cellIs" priority="20" dxfId="30" operator="equal" stopIfTrue="1">
      <formula>"&gt;"</formula>
    </cfRule>
    <cfRule type="cellIs" priority="21" dxfId="31" operator="equal" stopIfTrue="1">
      <formula>"&lt;"</formula>
    </cfRule>
  </conditionalFormatting>
  <conditionalFormatting sqref="E40">
    <cfRule type="cellIs" priority="22" dxfId="30" operator="equal" stopIfTrue="1">
      <formula>"NG ( x - dir. )"</formula>
    </cfRule>
    <cfRule type="cellIs" priority="23" dxfId="31" operator="equal" stopIfTrue="1">
      <formula>"OK ( x - dir. )"</formula>
    </cfRule>
  </conditionalFormatting>
  <conditionalFormatting sqref="E41">
    <cfRule type="cellIs" priority="24" dxfId="30" operator="equal" stopIfTrue="1">
      <formula>"NG ( y - dir. )"</formula>
    </cfRule>
    <cfRule type="cellIs" priority="25" dxfId="31" operator="equal" stopIfTrue="1">
      <formula>"OK ( y - dir. )"</formula>
    </cfRule>
  </conditionalFormatting>
  <conditionalFormatting sqref="D42 B83">
    <cfRule type="cellIs" priority="26" dxfId="30" operator="equal" stopIfTrue="1">
      <formula>"RESTRAINT SYSTEM REQD."</formula>
    </cfRule>
  </conditionalFormatting>
  <conditionalFormatting sqref="C42">
    <cfRule type="cellIs" priority="27" dxfId="30" operator="equal" stopIfTrue="1">
      <formula>"&gt;1.00"</formula>
    </cfRule>
  </conditionalFormatting>
  <conditionalFormatting sqref="B80">
    <cfRule type="cellIs" priority="28" dxfId="30" operator="equal" stopIfTrue="1">
      <formula>"HYDROSTATIC STRESS EXCEEDED"</formula>
    </cfRule>
  </conditionalFormatting>
  <conditionalFormatting sqref="B84">
    <cfRule type="cellIs" priority="29" dxfId="30" operator="equal" stopIfTrue="1">
      <formula>"HORIZ. FORCE &gt; P(DL) / 5"</formula>
    </cfRule>
  </conditionalFormatting>
  <conditionalFormatting sqref="D14">
    <cfRule type="cellIs" priority="30" dxfId="0" operator="lessThan" stopIfTrue="1">
      <formula>80</formula>
    </cfRule>
    <cfRule type="cellIs" priority="31" dxfId="0" operator="greaterThan" stopIfTrue="1">
      <formula>201.25</formula>
    </cfRule>
  </conditionalFormatting>
  <printOptions horizontalCentered="1"/>
  <pageMargins left="0.75" right="0.75" top="0.5" bottom="0.5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AISI Spreadsheet</dc:title>
  <dc:subject/>
  <dc:creator>Roeder and Stanton</dc:creator>
  <cp:keywords/>
  <dc:description/>
  <cp:lastModifiedBy>Dornsife, Ralph</cp:lastModifiedBy>
  <cp:lastPrinted>2009-08-11T00:06:18Z</cp:lastPrinted>
  <dcterms:created xsi:type="dcterms:W3CDTF">1997-09-18T16:26:05Z</dcterms:created>
  <dcterms:modified xsi:type="dcterms:W3CDTF">2021-02-26T23:11:24Z</dcterms:modified>
  <cp:category/>
  <cp:version/>
  <cp:contentType/>
  <cp:contentStatus/>
</cp:coreProperties>
</file>